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エコキュート" sheetId="1" r:id="rId1"/>
    <sheet name="エコジョーズ＋コレモ" sheetId="4" r:id="rId2"/>
    <sheet name="エネファーム" sheetId="2" r:id="rId3"/>
  </sheets>
  <definedNames>
    <definedName name="_xlnm.Print_Area" localSheetId="0">エコキュート!$B$1:$D$28</definedName>
    <definedName name="_xlnm.Print_Area" localSheetId="2">エネファーム!$B$1:$D$52</definedName>
    <definedName name="_xlnm.Print_Area" localSheetId="1">'エコジョーズ＋コレモ'!$B$1:$D$52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<sst xmlns="http://schemas.openxmlformats.org/spreadsheetml/2006/main" xmlns:r="http://schemas.openxmlformats.org/officeDocument/2006/relationships" count="81" uniqueCount="81">
  <si>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MJ/ｍ３</t>
  </si>
  <si>
    <t>エコジョーズの暖房削減量（暖房熱効率89％）</t>
    <rPh sb="7" eb="9">
      <t>ダンボウ</t>
    </rPh>
    <rPh sb="9" eb="11">
      <t>サクゲン</t>
    </rPh>
    <rPh sb="11" eb="12">
      <t>リョウ</t>
    </rPh>
    <rPh sb="13" eb="15">
      <t>ダンボウ</t>
    </rPh>
    <rPh sb="15" eb="16">
      <t>ネツ</t>
    </rPh>
    <rPh sb="16" eb="18">
      <t>コウリツ</t>
    </rPh>
    <phoneticPr fontId="12"/>
  </si>
  <si>
    <t>機器名称</t>
    <rPh sb="0" eb="4">
      <t>キキメイショウ</t>
    </rPh>
    <phoneticPr fontId="12"/>
  </si>
  <si>
    <t>CO2排出量</t>
    <rPh sb="3" eb="5">
      <t>ハイシュツ</t>
    </rPh>
    <rPh sb="5" eb="6">
      <t>リョウ</t>
    </rPh>
    <phoneticPr fontId="12"/>
  </si>
  <si>
    <t>ガス削減量[m3]</t>
    <rPh sb="2" eb="4">
      <t>サクゲン</t>
    </rPh>
    <rPh sb="4" eb="5">
      <t>リョウ</t>
    </rPh>
    <phoneticPr fontId="12"/>
  </si>
  <si>
    <t>製造メーカー</t>
    <rPh sb="0" eb="2">
      <t>セイゾウ</t>
    </rPh>
    <phoneticPr fontId="12"/>
  </si>
  <si>
    <t>コレモによるエコジョーズのガス削減量</t>
    <rPh sb="15" eb="17">
      <t>サクゲン</t>
    </rPh>
    <rPh sb="17" eb="18">
      <t>リョウ</t>
    </rPh>
    <phoneticPr fontId="12"/>
  </si>
  <si>
    <t>型式</t>
    <rPh sb="0" eb="2">
      <t>カタシキ</t>
    </rPh>
    <phoneticPr fontId="12"/>
  </si>
  <si>
    <t>EJガス量</t>
    <rPh sb="4" eb="5">
      <t>リョウ</t>
    </rPh>
    <phoneticPr fontId="12"/>
  </si>
  <si>
    <t>運転時間【h】</t>
    <rPh sb="0" eb="4">
      <t>ウンテンジカン</t>
    </rPh>
    <phoneticPr fontId="12"/>
  </si>
  <si>
    <t>CO2排出量【t-CO2/年】</t>
    <rPh sb="3" eb="6">
      <t>ハイシュツリョウ</t>
    </rPh>
    <rPh sb="13" eb="14">
      <t>ネン</t>
    </rPh>
    <phoneticPr fontId="12"/>
  </si>
  <si>
    <t>※環境省「排出係数一覧」より</t>
  </si>
  <si>
    <t>CO2削減効果【%】</t>
    <rPh sb="3" eb="5">
      <t>サクゲン</t>
    </rPh>
    <rPh sb="5" eb="7">
      <t>コウカ</t>
    </rPh>
    <phoneticPr fontId="12"/>
  </si>
  <si>
    <t>合計</t>
    <rPh sb="0" eb="2">
      <t>ゴウケイ</t>
    </rPh>
    <phoneticPr fontId="12"/>
  </si>
  <si>
    <t>CO2排出係数</t>
    <rPh sb="3" eb="5">
      <t>ハイシュツ</t>
    </rPh>
    <rPh sb="5" eb="7">
      <t>ケイスウ</t>
    </rPh>
    <phoneticPr fontId="12"/>
  </si>
  <si>
    <r>
      <t>□</t>
    </r>
    <r>
      <rPr>
        <sz val="20"/>
        <color theme="1"/>
        <rFont val="HG丸ｺﾞｼｯｸM-PRO"/>
      </rPr>
      <t>エコジョーズ＋コレモ用</t>
    </r>
    <r>
      <rPr>
        <sz val="20"/>
        <color theme="1"/>
        <rFont val="ＭＳ Ｐゴシック"/>
      </rPr>
      <t>　（都市ガス用）</t>
    </r>
    <rPh sb="11" eb="12">
      <t>ヨウ</t>
    </rPh>
    <rPh sb="14" eb="16">
      <t>トシ</t>
    </rPh>
    <rPh sb="18" eb="19">
      <t>ヨウ</t>
    </rPh>
    <phoneticPr fontId="12"/>
  </si>
  <si>
    <t>（参考）運転時間【h】</t>
    <rPh sb="1" eb="3">
      <t>サンコウ</t>
    </rPh>
    <rPh sb="4" eb="8">
      <t>ウンテンジカン</t>
    </rPh>
    <phoneticPr fontId="12"/>
  </si>
  <si>
    <r>
      <rPr>
        <sz val="11"/>
        <color rgb="FFFF0000"/>
        <rFont val="ＭＳ Ｐゴシック"/>
      </rPr>
      <t>エネファーム</t>
    </r>
    <r>
      <rPr>
        <sz val="11"/>
        <color theme="1"/>
        <rFont val="ＭＳ Ｐゴシック"/>
      </rPr>
      <t>のガス消費量</t>
    </r>
    <r>
      <rPr>
        <sz val="11"/>
        <color rgb="FFFF0000"/>
        <rFont val="ＭＳ Ｐゴシック"/>
      </rPr>
      <t>（1.8kW</t>
    </r>
    <r>
      <rPr>
        <sz val="11"/>
        <color theme="1"/>
        <rFont val="ＭＳ Ｐゴシック"/>
      </rPr>
      <t>）をMJ換算</t>
    </r>
    <rPh sb="9" eb="12">
      <t>ショウヒリョウ</t>
    </rPh>
    <rPh sb="22" eb="24">
      <t>カンサン</t>
    </rPh>
    <phoneticPr fontId="12"/>
  </si>
  <si>
    <t>〇エコキュート用</t>
    <rPh sb="7" eb="8">
      <t>ヨウ</t>
    </rPh>
    <phoneticPr fontId="12"/>
  </si>
  <si>
    <t>CO2削減量</t>
    <rPh sb="3" eb="5">
      <t>サクゲン</t>
    </rPh>
    <rPh sb="5" eb="6">
      <t>リョウ</t>
    </rPh>
    <phoneticPr fontId="12"/>
  </si>
  <si>
    <t>台数</t>
    <rPh sb="0" eb="2">
      <t>ダイスウ</t>
    </rPh>
    <phoneticPr fontId="12"/>
  </si>
  <si>
    <t>導入前の機器</t>
  </si>
  <si>
    <t>削減量×電気の排出係数</t>
    <rPh sb="0" eb="2">
      <t>サクゲン</t>
    </rPh>
    <rPh sb="2" eb="3">
      <t>リョウ</t>
    </rPh>
    <rPh sb="4" eb="6">
      <t>デンキ</t>
    </rPh>
    <rPh sb="7" eb="9">
      <t>ハイシュツ</t>
    </rPh>
    <rPh sb="9" eb="11">
      <t>ケイスウ</t>
    </rPh>
    <phoneticPr fontId="12"/>
  </si>
  <si>
    <t>kWh</t>
  </si>
  <si>
    <t>エコジョーズのCO2排出量+コレモのCO2排出量ー電気のCO2削減量ーエコジョーズのCO2削減量</t>
    <rPh sb="12" eb="13">
      <t>リョウ</t>
    </rPh>
    <rPh sb="23" eb="24">
      <t>リョウ</t>
    </rPh>
    <rPh sb="33" eb="34">
      <t>リョウ</t>
    </rPh>
    <rPh sb="47" eb="48">
      <t>リョウ</t>
    </rPh>
    <phoneticPr fontId="12"/>
  </si>
  <si>
    <t>導入後の機器</t>
    <rPh sb="0" eb="3">
      <t>ドウニュウゴ</t>
    </rPh>
    <rPh sb="4" eb="6">
      <t>キキ</t>
    </rPh>
    <phoneticPr fontId="12"/>
  </si>
  <si>
    <t>消費量は給湯と暖房を分けています。</t>
    <rPh sb="0" eb="3">
      <t>ショウヒリョウ</t>
    </rPh>
    <rPh sb="4" eb="6">
      <t>キュウトウ</t>
    </rPh>
    <rPh sb="7" eb="9">
      <t>ダンボウ</t>
    </rPh>
    <rPh sb="10" eb="11">
      <t>ワ</t>
    </rPh>
    <phoneticPr fontId="12"/>
  </si>
  <si>
    <r>
      <rPr>
        <sz val="11"/>
        <color rgb="FFFF0000"/>
        <rFont val="ＭＳ Ｐゴシック"/>
      </rPr>
      <t>エネファーム</t>
    </r>
    <r>
      <rPr>
        <sz val="11"/>
        <color theme="1"/>
        <rFont val="ＭＳ Ｐゴシック"/>
      </rPr>
      <t>ガス量[m3]</t>
    </r>
    <rPh sb="8" eb="9">
      <t>リョウ</t>
    </rPh>
    <phoneticPr fontId="12"/>
  </si>
  <si>
    <t>コレモの熱出力（2.9kW）をMJ換算</t>
    <rPh sb="4" eb="7">
      <t>ネツシュツリョク</t>
    </rPh>
    <rPh sb="17" eb="19">
      <t>カンサン</t>
    </rPh>
    <phoneticPr fontId="12"/>
  </si>
  <si>
    <t>灯油(kgCO2/L)</t>
    <rPh sb="0" eb="2">
      <t>トウユ</t>
    </rPh>
    <phoneticPr fontId="12"/>
  </si>
  <si>
    <t>電気(kgCO2/kWh)</t>
    <rPh sb="0" eb="2">
      <t>デンキ</t>
    </rPh>
    <phoneticPr fontId="12"/>
  </si>
  <si>
    <t>(1日10時間運転を12ヶ月）</t>
    <rPh sb="2" eb="3">
      <t>ニチ</t>
    </rPh>
    <rPh sb="5" eb="7">
      <t>ジカン</t>
    </rPh>
    <rPh sb="7" eb="9">
      <t>ウンテン</t>
    </rPh>
    <rPh sb="13" eb="14">
      <t>ゲツ</t>
    </rPh>
    <phoneticPr fontId="12"/>
  </si>
  <si>
    <t>ガス(kgCO2/㎥)</t>
  </si>
  <si>
    <t>暖房16.5kW＋エネファーム1.8kW」となります。</t>
  </si>
  <si>
    <t>コレモガス量[m3]</t>
    <rPh sb="5" eb="6">
      <t>リョウ</t>
    </rPh>
    <phoneticPr fontId="12"/>
  </si>
  <si>
    <t>全てコレモのカタログに記載がある値を使用して計算しています。</t>
    <rPh sb="0" eb="1">
      <t>スベ</t>
    </rPh>
    <rPh sb="11" eb="13">
      <t>キサイ</t>
    </rPh>
    <rPh sb="16" eb="17">
      <t>アタイ</t>
    </rPh>
    <rPh sb="18" eb="20">
      <t>シヨウ</t>
    </rPh>
    <rPh sb="22" eb="24">
      <t>ケイサン</t>
    </rPh>
    <phoneticPr fontId="12"/>
  </si>
  <si>
    <t>コレモの使用量</t>
    <rPh sb="4" eb="6">
      <t>シヨウ</t>
    </rPh>
    <rPh sb="6" eb="7">
      <t>リョウ</t>
    </rPh>
    <phoneticPr fontId="12"/>
  </si>
  <si>
    <t>コレモのガス消費量（4.8kW）をMJ換算</t>
    <rPh sb="6" eb="9">
      <t>ショウヒリョウ</t>
    </rPh>
    <rPh sb="19" eb="21">
      <t>カンサン</t>
    </rPh>
    <phoneticPr fontId="12"/>
  </si>
  <si>
    <t>1時間当たりの消費量</t>
    <rPh sb="1" eb="3">
      <t>ジカン</t>
    </rPh>
    <rPh sb="3" eb="4">
      <t>ア</t>
    </rPh>
    <rPh sb="7" eb="10">
      <t>ショウヒリョウ</t>
    </rPh>
    <phoneticPr fontId="12"/>
  </si>
  <si>
    <t>年間使用量（×運転時間）</t>
    <rPh sb="0" eb="2">
      <t>ネンカン</t>
    </rPh>
    <rPh sb="2" eb="5">
      <t>シヨウリョウ</t>
    </rPh>
    <rPh sb="7" eb="9">
      <t>ウンテン</t>
    </rPh>
    <rPh sb="9" eb="11">
      <t>ジカン</t>
    </rPh>
    <phoneticPr fontId="12"/>
  </si>
  <si>
    <t>電気の削減量</t>
    <rPh sb="0" eb="2">
      <t>デンキ</t>
    </rPh>
    <rPh sb="3" eb="5">
      <t>サクゲン</t>
    </rPh>
    <rPh sb="5" eb="6">
      <t>リョウ</t>
    </rPh>
    <phoneticPr fontId="12"/>
  </si>
  <si>
    <t>コレモの発電能力（1.2kW)×運転時間</t>
    <rPh sb="4" eb="6">
      <t>ハツデン</t>
    </rPh>
    <rPh sb="6" eb="8">
      <t>ノウリョク</t>
    </rPh>
    <rPh sb="16" eb="18">
      <t>ウンテン</t>
    </rPh>
    <rPh sb="18" eb="20">
      <t>ジカン</t>
    </rPh>
    <phoneticPr fontId="12"/>
  </si>
  <si>
    <t>m3/h</t>
  </si>
  <si>
    <r>
      <t>CO2削減効果算定シート</t>
    </r>
    <r>
      <rPr>
        <sz val="20"/>
        <color theme="1"/>
        <rFont val="ＭＳ Ｐゴシック"/>
      </rPr>
      <t>（高効率給湯機器用）</t>
    </r>
    <rPh sb="3" eb="5">
      <t>サクゲン</t>
    </rPh>
    <rPh sb="5" eb="7">
      <t>コウカ</t>
    </rPh>
    <rPh sb="7" eb="9">
      <t>サンテイ</t>
    </rPh>
    <rPh sb="13" eb="16">
      <t>コウコウリツ</t>
    </rPh>
    <rPh sb="16" eb="18">
      <t>キュウトウ</t>
    </rPh>
    <rPh sb="18" eb="20">
      <t>キキ</t>
    </rPh>
    <rPh sb="20" eb="21">
      <t>ヨウ</t>
    </rPh>
    <phoneticPr fontId="12"/>
  </si>
  <si>
    <t>※環境省「排出係数一覧」より</t>
    <rPh sb="1" eb="4">
      <t>かんきょうしょう</t>
    </rPh>
    <rPh sb="5" eb="7">
      <t>はいしゅつ</t>
    </rPh>
    <rPh sb="7" eb="9">
      <t>けいすう</t>
    </rPh>
    <rPh sb="9" eb="11">
      <t>いちらん</t>
    </rPh>
    <phoneticPr fontId="2" type="Hiragana"/>
  </si>
  <si>
    <t>CO2削減量には電気代削減分が含まれています。</t>
  </si>
  <si>
    <t>コレモは別で計算していますが、考え方は「エコジョーズの</t>
    <rPh sb="4" eb="5">
      <t>ベツ</t>
    </rPh>
    <rPh sb="6" eb="8">
      <t>ケイサン</t>
    </rPh>
    <rPh sb="15" eb="16">
      <t>カンガ</t>
    </rPh>
    <rPh sb="17" eb="18">
      <t>カタ</t>
    </rPh>
    <phoneticPr fontId="12"/>
  </si>
  <si>
    <t>暖房16.5kW＋コレモ4.8kW」となります。</t>
  </si>
  <si>
    <t>エネファームは別で計算していますが、考え方は「エコジョーズの</t>
    <rPh sb="7" eb="8">
      <t>ベツ</t>
    </rPh>
    <rPh sb="9" eb="11">
      <t>ケイサン</t>
    </rPh>
    <rPh sb="18" eb="19">
      <t>カンガ</t>
    </rPh>
    <rPh sb="20" eb="21">
      <t>カタ</t>
    </rPh>
    <phoneticPr fontId="12"/>
  </si>
  <si>
    <t>1 kWｈ = 3.6 MJ</t>
  </si>
  <si>
    <r>
      <rPr>
        <sz val="11"/>
        <color rgb="FFFF0000"/>
        <rFont val="ＭＳ Ｐゴシック"/>
      </rPr>
      <t>エネファーム</t>
    </r>
    <r>
      <rPr>
        <sz val="11"/>
        <color theme="1"/>
        <rFont val="ＭＳ Ｐゴシック"/>
      </rPr>
      <t>によるエコジョーズのガス削減量</t>
    </r>
    <rPh sb="18" eb="20">
      <t>サクゲン</t>
    </rPh>
    <rPh sb="20" eb="21">
      <t>リョウ</t>
    </rPh>
    <phoneticPr fontId="12"/>
  </si>
  <si>
    <r>
      <rPr>
        <sz val="11"/>
        <color rgb="FFFF0000"/>
        <rFont val="ＭＳ Ｐゴシック"/>
      </rPr>
      <t>エネファーム</t>
    </r>
    <r>
      <rPr>
        <sz val="11"/>
        <color theme="1"/>
        <rFont val="ＭＳ Ｐゴシック"/>
      </rPr>
      <t>の発電能力</t>
    </r>
    <r>
      <rPr>
        <sz val="11"/>
        <color rgb="FFFF0000"/>
        <rFont val="ＭＳ Ｐゴシック"/>
      </rPr>
      <t>（0.7</t>
    </r>
    <r>
      <rPr>
        <sz val="11"/>
        <color theme="1"/>
        <rFont val="ＭＳ Ｐゴシック"/>
      </rPr>
      <t>kW)×運転時間</t>
    </r>
    <rPh sb="7" eb="9">
      <t>ハツデン</t>
    </rPh>
    <rPh sb="9" eb="11">
      <t>ノウリョク</t>
    </rPh>
    <rPh sb="19" eb="21">
      <t>ウンテン</t>
    </rPh>
    <rPh sb="21" eb="23">
      <t>ジカン</t>
    </rPh>
    <phoneticPr fontId="12"/>
  </si>
  <si>
    <t>MJ</t>
  </si>
  <si>
    <t>m3</t>
  </si>
  <si>
    <r>
      <t>水温</t>
    </r>
    <r>
      <rPr>
        <sz val="11"/>
        <color theme="1"/>
        <rFont val="HG丸ｺﾞｼｯｸM-PRO"/>
      </rPr>
      <t>9</t>
    </r>
    <r>
      <rPr>
        <sz val="11"/>
        <color theme="1"/>
        <rFont val="ＭＳ Ｐゴシック"/>
      </rPr>
      <t>℃、給湯温度</t>
    </r>
    <r>
      <rPr>
        <sz val="11"/>
        <color theme="1"/>
        <rFont val="HG丸ｺﾞｼｯｸM-PRO"/>
      </rPr>
      <t>90</t>
    </r>
    <r>
      <rPr>
        <sz val="11"/>
        <color theme="1"/>
        <rFont val="ＭＳ Ｐゴシック"/>
      </rPr>
      <t>℃、夏季</t>
    </r>
    <r>
      <rPr>
        <sz val="11"/>
        <color theme="1"/>
        <rFont val="HG丸ｺﾞｼｯｸM-PRO"/>
      </rPr>
      <t>6</t>
    </r>
    <r>
      <rPr>
        <sz val="11"/>
        <color theme="1"/>
        <rFont val="ＭＳ Ｐゴシック"/>
      </rPr>
      <t>か月、冬季</t>
    </r>
    <r>
      <rPr>
        <sz val="11"/>
        <color theme="1"/>
        <rFont val="HG丸ｺﾞｼｯｸM-PRO"/>
      </rPr>
      <t>6</t>
    </r>
    <r>
      <rPr>
        <sz val="11"/>
        <color theme="1"/>
        <rFont val="ＭＳ Ｐゴシック"/>
      </rPr>
      <t>か月</t>
    </r>
  </si>
  <si>
    <t>kgCO2</t>
  </si>
  <si>
    <r>
      <t>□</t>
    </r>
    <r>
      <rPr>
        <sz val="20"/>
        <color theme="1"/>
        <rFont val="HG丸ｺﾞｼｯｸM-PRO"/>
      </rPr>
      <t>エコジョーズ＋コレモ用</t>
    </r>
    <r>
      <rPr>
        <sz val="20"/>
        <color theme="1"/>
        <rFont val="ＭＳ Ｐゴシック"/>
      </rPr>
      <t>　（ＬＰガス用）</t>
    </r>
    <rPh sb="11" eb="12">
      <t>ヨウ</t>
    </rPh>
    <rPh sb="18" eb="19">
      <t>ヨウ</t>
    </rPh>
    <phoneticPr fontId="12"/>
  </si>
  <si>
    <t>下記のいずれかにチェックを付けててください。</t>
    <rPh sb="0" eb="2">
      <t>かき</t>
    </rPh>
    <rPh sb="13" eb="14">
      <t>つ</t>
    </rPh>
    <phoneticPr fontId="2" type="Hiragana"/>
  </si>
  <si>
    <r>
      <t>・</t>
    </r>
    <r>
      <rPr>
        <sz val="12"/>
        <color theme="1"/>
        <rFont val="ＭＳ Ｐゴシック"/>
      </rPr>
      <t>色つき</t>
    </r>
    <r>
      <rPr>
        <sz val="12"/>
        <color theme="1"/>
        <rFont val="HG丸ｺﾞｼｯｸM-PRO"/>
      </rPr>
      <t>のセルに記載</t>
    </r>
    <r>
      <rPr>
        <sz val="12"/>
        <color theme="1"/>
        <rFont val="ＭＳ Ｐゴシック"/>
      </rPr>
      <t>してください</t>
    </r>
    <r>
      <rPr>
        <sz val="12"/>
        <color theme="1"/>
        <rFont val="HG丸ｺﾞｼｯｸM-PRO"/>
      </rPr>
      <t>。その他のセルは変更しない</t>
    </r>
    <r>
      <rPr>
        <sz val="12"/>
        <color theme="1"/>
        <rFont val="ＭＳ Ｐゴシック"/>
      </rPr>
      <t>でください。</t>
    </r>
    <rPh sb="1" eb="2">
      <t>イロ</t>
    </rPh>
    <rPh sb="8" eb="10">
      <t>キサイ</t>
    </rPh>
    <rPh sb="19" eb="20">
      <t>ホカ</t>
    </rPh>
    <rPh sb="24" eb="26">
      <t>ヘンコウ</t>
    </rPh>
    <phoneticPr fontId="12"/>
  </si>
  <si>
    <r>
      <t>全て</t>
    </r>
    <r>
      <rPr>
        <sz val="11"/>
        <color rgb="FFFF0000"/>
        <rFont val="ＭＳ Ｐゴシック"/>
      </rPr>
      <t>エネファーム</t>
    </r>
    <r>
      <rPr>
        <sz val="11"/>
        <color theme="1"/>
        <rFont val="ＭＳ Ｐゴシック"/>
      </rPr>
      <t>のカタログに記載がある値を使用して計算しています。</t>
    </r>
    <rPh sb="0" eb="1">
      <t>スベ</t>
    </rPh>
    <rPh sb="14" eb="16">
      <t>キサイ</t>
    </rPh>
    <rPh sb="19" eb="20">
      <t>アタイ</t>
    </rPh>
    <rPh sb="21" eb="23">
      <t>シヨウ</t>
    </rPh>
    <rPh sb="25" eb="27">
      <t>ケイサン</t>
    </rPh>
    <phoneticPr fontId="12"/>
  </si>
  <si>
    <r>
      <rPr>
        <sz val="11"/>
        <color rgb="FFFF0000"/>
        <rFont val="ＭＳ Ｐゴシック"/>
      </rPr>
      <t>エネファーム</t>
    </r>
    <r>
      <rPr>
        <sz val="11"/>
        <color theme="1"/>
        <rFont val="ＭＳ Ｐゴシック"/>
      </rPr>
      <t>の熱出力（</t>
    </r>
    <r>
      <rPr>
        <sz val="11"/>
        <color rgb="FFFF0000"/>
        <rFont val="ＭＳ Ｐゴシック"/>
      </rPr>
      <t>1.0</t>
    </r>
    <r>
      <rPr>
        <sz val="11"/>
        <color theme="1"/>
        <rFont val="ＭＳ Ｐゴシック"/>
      </rPr>
      <t>kW）をMJ換算</t>
    </r>
    <rPh sb="7" eb="10">
      <t>ネツシュツリョク</t>
    </rPh>
    <rPh sb="20" eb="22">
      <t>カンサン</t>
    </rPh>
    <phoneticPr fontId="12"/>
  </si>
  <si>
    <r>
      <t>エコジョーズの</t>
    </r>
    <r>
      <rPr>
        <sz val="11"/>
        <color rgb="FFFF0000"/>
        <rFont val="ＭＳ Ｐゴシック"/>
      </rPr>
      <t>給湯</t>
    </r>
    <r>
      <rPr>
        <sz val="11"/>
        <color theme="1"/>
        <rFont val="ＭＳ Ｐゴシック"/>
      </rPr>
      <t>削減量（</t>
    </r>
    <r>
      <rPr>
        <sz val="11"/>
        <color rgb="FFFF0000"/>
        <rFont val="ＭＳ Ｐゴシック"/>
      </rPr>
      <t>給湯</t>
    </r>
    <r>
      <rPr>
        <sz val="11"/>
        <color theme="1"/>
        <rFont val="ＭＳ Ｐゴシック"/>
      </rPr>
      <t>熱効率</t>
    </r>
    <r>
      <rPr>
        <sz val="11"/>
        <color rgb="FFFF0000"/>
        <rFont val="ＭＳ Ｐゴシック"/>
      </rPr>
      <t>95</t>
    </r>
    <r>
      <rPr>
        <sz val="11"/>
        <color theme="1"/>
        <rFont val="ＭＳ Ｐゴシック"/>
      </rPr>
      <t>％）</t>
    </r>
    <rPh sb="7" eb="9">
      <t>キュウトウ</t>
    </rPh>
    <rPh sb="9" eb="11">
      <t>サクゲン</t>
    </rPh>
    <rPh sb="11" eb="12">
      <t>リョウ</t>
    </rPh>
    <rPh sb="13" eb="15">
      <t>キュウトウ</t>
    </rPh>
    <rPh sb="15" eb="16">
      <t>ネツ</t>
    </rPh>
    <rPh sb="16" eb="18">
      <t>コウリツ</t>
    </rPh>
    <phoneticPr fontId="12"/>
  </si>
  <si>
    <t>-</t>
  </si>
  <si>
    <r>
      <t>エコジョーズのCO2排出量+</t>
    </r>
    <r>
      <rPr>
        <sz val="11"/>
        <color rgb="FFFF0000"/>
        <rFont val="ＭＳ Ｐゴシック"/>
      </rPr>
      <t>エネファーム</t>
    </r>
    <r>
      <rPr>
        <sz val="11"/>
        <color theme="1"/>
        <rFont val="ＭＳ Ｐゴシック"/>
      </rPr>
      <t>のCO2排出量ー電気のCO2削減量ーエコジョーズのCO2削減量</t>
    </r>
    <rPh sb="12" eb="13">
      <t>リョウ</t>
    </rPh>
    <rPh sb="26" eb="27">
      <t>リョウ</t>
    </rPh>
    <rPh sb="36" eb="37">
      <t>リョウ</t>
    </rPh>
    <rPh sb="50" eb="51">
      <t>リョウ</t>
    </rPh>
    <phoneticPr fontId="12"/>
  </si>
  <si>
    <r>
      <t>燃料消費量【灯油L/h、</t>
    </r>
    <r>
      <rPr>
        <sz val="12"/>
        <color theme="1"/>
        <rFont val="ＭＳ Ｐゴシック"/>
      </rPr>
      <t>電気</t>
    </r>
    <r>
      <rPr>
        <sz val="12"/>
        <color theme="1"/>
        <rFont val="HG丸ｺﾞｼｯｸM-PRO"/>
      </rPr>
      <t>kw</t>
    </r>
    <r>
      <rPr>
        <sz val="12"/>
        <color theme="1"/>
        <rFont val="ＭＳ Ｐゴシック"/>
      </rPr>
      <t>、ガスm3/h</t>
    </r>
    <r>
      <rPr>
        <sz val="12"/>
        <color theme="1"/>
        <rFont val="HG丸ｺﾞｼｯｸM-PRO"/>
      </rPr>
      <t>】</t>
    </r>
    <rPh sb="0" eb="5">
      <t>ネンリョウショウヒリョウ</t>
    </rPh>
    <rPh sb="6" eb="8">
      <t>トウユ</t>
    </rPh>
    <rPh sb="12" eb="14">
      <t>デンキ</t>
    </rPh>
    <phoneticPr fontId="12"/>
  </si>
  <si>
    <r>
      <t>□エネファーム</t>
    </r>
    <r>
      <rPr>
        <sz val="20"/>
        <color theme="1"/>
        <rFont val="ＭＳ Ｐゴシック"/>
      </rPr>
      <t>　（都市ガス用）</t>
    </r>
    <rPh sb="9" eb="11">
      <t>トシ</t>
    </rPh>
    <rPh sb="13" eb="14">
      <t>ヨウ</t>
    </rPh>
    <phoneticPr fontId="12"/>
  </si>
  <si>
    <r>
      <t>□</t>
    </r>
    <r>
      <rPr>
        <sz val="20"/>
        <color theme="1"/>
        <rFont val="ＭＳ Ｐゴシック"/>
      </rPr>
      <t>エネファーム　（ＬＰガス用）</t>
    </r>
    <rPh sb="13" eb="14">
      <t>ヨウ</t>
    </rPh>
    <phoneticPr fontId="12"/>
  </si>
  <si>
    <t>(1日20時間運転を12ヶ月）</t>
    <rPh sb="2" eb="3">
      <t>ニチ</t>
    </rPh>
    <rPh sb="5" eb="7">
      <t>ジカン</t>
    </rPh>
    <rPh sb="7" eb="9">
      <t>ウンテン</t>
    </rPh>
    <rPh sb="13" eb="14">
      <t>ゲツ</t>
    </rPh>
    <phoneticPr fontId="12"/>
  </si>
  <si>
    <t>寒冷地年間給湯効率、給湯保温効率</t>
  </si>
  <si>
    <t>エコキュートのタンク容量【L】</t>
    <rPh sb="10" eb="12">
      <t>ヨウリョウ</t>
    </rPh>
    <phoneticPr fontId="12"/>
  </si>
  <si>
    <t>燃料消費量【灯油L/h、電気kW】*3</t>
    <rPh sb="0" eb="5">
      <t>ネンリョウショウヒリョウ</t>
    </rPh>
    <rPh sb="6" eb="8">
      <t>トウユ</t>
    </rPh>
    <rPh sb="12" eb="14">
      <t>デンキ</t>
    </rPh>
    <phoneticPr fontId="12"/>
  </si>
  <si>
    <t>加温能力【電気kW】*1</t>
    <rPh sb="0" eb="2">
      <t>カオン</t>
    </rPh>
    <rPh sb="2" eb="4">
      <t>ノウリョク</t>
    </rPh>
    <phoneticPr fontId="12"/>
  </si>
  <si>
    <t>燃料消費量【灯油kW、電気kW】*2</t>
    <rPh sb="0" eb="5">
      <t>ネンリョウショウヒリョウ</t>
    </rPh>
    <rPh sb="6" eb="8">
      <t>トウユ</t>
    </rPh>
    <rPh sb="11" eb="13">
      <t>デンキ</t>
    </rPh>
    <phoneticPr fontId="12"/>
  </si>
  <si>
    <r>
      <t>運転時間【</t>
    </r>
    <r>
      <rPr>
        <sz val="12"/>
        <color theme="1"/>
        <rFont val="ＭＳ Ｐゴシック"/>
      </rPr>
      <t>日</t>
    </r>
    <r>
      <rPr>
        <sz val="12"/>
        <color theme="1"/>
        <rFont val="HG丸ｺﾞｼｯｸM-PRO"/>
      </rPr>
      <t>】</t>
    </r>
    <rPh sb="0" eb="4">
      <t>ウンテンジカン</t>
    </rPh>
    <rPh sb="5" eb="6">
      <t>ヒ</t>
    </rPh>
    <phoneticPr fontId="12"/>
  </si>
  <si>
    <r>
      <t>（参考）</t>
    </r>
    <r>
      <rPr>
        <sz val="12"/>
        <color theme="1"/>
        <rFont val="ＭＳ Ｐゴシック"/>
      </rPr>
      <t>温</t>
    </r>
    <r>
      <rPr>
        <sz val="12"/>
        <color theme="1"/>
        <rFont val="ＭＳ Ｐゴシック"/>
      </rPr>
      <t>度条件</t>
    </r>
    <rPh sb="1" eb="3">
      <t>サンコウ</t>
    </rPh>
    <rPh sb="4" eb="6">
      <t>オンド</t>
    </rPh>
    <rPh sb="6" eb="8">
      <t>ジョウケン</t>
    </rPh>
    <phoneticPr fontId="12"/>
  </si>
  <si>
    <t>*1：エコキュートの加温能力(kW、中間期、冬季)の値を記載すること。</t>
  </si>
  <si>
    <t>*2：エコキュートは中間期(外気16℃DB)の消費電力(kW)の値を記載すること。</t>
    <rPh sb="10" eb="13">
      <t>チュウカンキ</t>
    </rPh>
    <rPh sb="14" eb="16">
      <t>ガイキ</t>
    </rPh>
    <rPh sb="23" eb="27">
      <t>ショウヒデンリョク</t>
    </rPh>
    <rPh sb="32" eb="33">
      <t>アタイ</t>
    </rPh>
    <rPh sb="34" eb="36">
      <t>キサイ</t>
    </rPh>
    <phoneticPr fontId="12"/>
  </si>
  <si>
    <t>*3：エコキュートは冬季(外気7℃DB)の消費電力(kW)の値を記載すること。</t>
  </si>
  <si>
    <t>1KW＝</t>
  </si>
  <si>
    <t>Kcal/ｈ</t>
  </si>
  <si>
    <t>時間</t>
    <rPh sb="0" eb="2">
      <t>ジカン</t>
    </rPh>
    <phoneticPr fontId="1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</si>
</sst>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0.00_ "/>
    <numFmt numFmtId="177" formatCode="#,##0.000;[Red]\-#,##0.000"/>
    <numFmt numFmtId="178" formatCode="#,##0.0000;[Red]\-#,##0.0000"/>
    <numFmt numFmtId="179" formatCode="0.0"/>
    <numFmt numFmtId="180" formatCode="#,##0.0_ ;[Red]\-#,##0.0\ "/>
    <numFmt numFmtId="181" formatCode="0.000"/>
    <numFmt numFmtId="182" formatCode="#,##0.0;[Red]\-#,##0.0"/>
  </numFmts>
  <fonts count="13">
    <font>
      <sz val="11"/>
      <color theme="1"/>
      <name val="ＭＳ Ｐゴシック"/>
      <family val="3"/>
      <scheme val="minor"/>
    </font>
    <font>
      <u/>
      <sz val="11"/>
      <color theme="10"/>
      <name val="游ゴシック"/>
      <family val="2"/>
    </font>
    <font>
      <sz val="6"/>
      <color auto="1"/>
      <name val="ＭＳ Ｐゴシック"/>
      <family val="3"/>
    </font>
    <font>
      <sz val="20"/>
      <color theme="1"/>
      <name val="HG丸ｺﾞｼｯｸM-PRO"/>
      <family val="3"/>
    </font>
    <font>
      <sz val="12"/>
      <color theme="1"/>
      <name val="HG丸ｺﾞｼｯｸM-PRO"/>
      <family val="3"/>
    </font>
    <font>
      <sz val="11"/>
      <color theme="1"/>
      <name val="HG丸ｺﾞｼｯｸM-PRO"/>
      <family val="3"/>
    </font>
    <font>
      <sz val="11"/>
      <color theme="1"/>
      <name val="ＭＳ Ｐゴシック"/>
      <family val="3"/>
      <scheme val="minor"/>
    </font>
    <font>
      <sz val="24"/>
      <color theme="1"/>
      <name val="HG丸ｺﾞｼｯｸM-PRO"/>
      <family val="3"/>
    </font>
    <font>
      <sz val="20"/>
      <color theme="1"/>
      <name val="ＭＳ Ｐゴシック"/>
      <family val="3"/>
    </font>
    <font>
      <sz val="11"/>
      <color rgb="FFFF0000"/>
      <name val="游ゴシック"/>
      <family val="3"/>
    </font>
    <font>
      <sz val="11"/>
      <color rgb="FFFF0000"/>
      <name val="ＭＳ Ｐゴシック"/>
      <family val="3"/>
      <scheme val="minor"/>
    </font>
    <font>
      <sz val="12"/>
      <color rgb="FFFF0000"/>
      <name val="HG丸ｺﾞｼｯｸM-PRO"/>
      <family val="3"/>
    </font>
    <font>
      <sz val="6"/>
      <color auto="1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7" tint="0.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0" xfId="0" applyFont="1" applyProtection="1">
      <alignment vertical="center"/>
    </xf>
    <xf numFmtId="0" fontId="4" fillId="0" borderId="2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38" fontId="4" fillId="0" borderId="1" xfId="2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7" fillId="0" borderId="6" xfId="3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5" fillId="0" borderId="8" xfId="0" applyFont="1" applyBorder="1" applyProtection="1">
      <alignment vertical="center"/>
    </xf>
    <xf numFmtId="9" fontId="7" fillId="0" borderId="9" xfId="3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1" applyFo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vertical="center" shrinkToFit="1"/>
    </xf>
    <xf numFmtId="0" fontId="0" fillId="0" borderId="4" xfId="0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176" fontId="5" fillId="0" borderId="8" xfId="0" applyNumberFormat="1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177" fontId="10" fillId="0" borderId="0" xfId="2" applyNumberFormat="1" applyFont="1" applyProtection="1">
      <alignment vertical="center"/>
    </xf>
    <xf numFmtId="178" fontId="10" fillId="0" borderId="0" xfId="0" applyNumberFormat="1" applyFo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49" fontId="0" fillId="3" borderId="0" xfId="0" applyNumberFormat="1" applyFont="1" applyFill="1" applyAlignment="1" applyProtection="1">
      <alignment horizontal="left" vertical="center"/>
    </xf>
    <xf numFmtId="38" fontId="0" fillId="0" borderId="0" xfId="2" applyFont="1" applyProtection="1">
      <alignment vertical="center"/>
    </xf>
    <xf numFmtId="178" fontId="0" fillId="0" borderId="0" xfId="2" applyNumberFormat="1" applyFont="1" applyProtection="1">
      <alignment vertical="center"/>
    </xf>
    <xf numFmtId="179" fontId="0" fillId="0" borderId="0" xfId="0" applyNumberFormat="1" applyFont="1" applyProtection="1">
      <alignment vertical="center"/>
    </xf>
    <xf numFmtId="180" fontId="0" fillId="0" borderId="0" xfId="0" applyNumberFormat="1" applyFont="1" applyProtection="1">
      <alignment vertical="center"/>
    </xf>
    <xf numFmtId="181" fontId="10" fillId="0" borderId="0" xfId="0" applyNumberFormat="1" applyFo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38" fontId="10" fillId="0" borderId="0" xfId="2" applyFont="1" applyProtection="1">
      <alignment vertical="center"/>
    </xf>
    <xf numFmtId="182" fontId="0" fillId="0" borderId="0" xfId="2" applyNumberFormat="1" applyFont="1" applyProtection="1">
      <alignment vertical="center"/>
    </xf>
  </cellXfs>
  <cellStyles count="4">
    <cellStyle name="ハイパーリンク" xfId="1"/>
    <cellStyle name="標準" xfId="0" builtinId="0"/>
    <cellStyle name="桁区切り" xfId="2" builtinId="6"/>
    <cellStyle name="パーセント" xfId="3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I26"/>
  <sheetViews>
    <sheetView tabSelected="1" view="pageBreakPreview" zoomScale="80" zoomScaleNormal="70" zoomScaleSheetLayoutView="80" workbookViewId="0">
      <selection activeCell="D16" sqref="D16"/>
    </sheetView>
  </sheetViews>
  <sheetFormatPr defaultRowHeight="13.2"/>
  <cols>
    <col min="1" max="1" width="1.5" style="1" customWidth="1"/>
    <col min="2" max="2" width="35.625" style="1" bestFit="1" customWidth="1"/>
    <col min="3" max="3" width="35.375" style="1" bestFit="1" customWidth="1"/>
    <col min="4" max="4" width="40.375" style="1" customWidth="1"/>
    <col min="5" max="5" width="4" style="1" customWidth="1"/>
    <col min="6" max="6" width="13" style="1" customWidth="1"/>
    <col min="7" max="8" width="12.44140625" style="1" customWidth="1"/>
    <col min="9" max="9" width="12.44140625" style="2" customWidth="1"/>
    <col min="10" max="10" width="9" style="1" customWidth="1"/>
    <col min="11" max="11" width="41.625" style="1" customWidth="1"/>
    <col min="12" max="13" width="15.625" style="1" customWidth="1"/>
    <col min="14" max="16384" width="9" style="1" customWidth="1"/>
  </cols>
  <sheetData>
    <row r="1" spans="2:9" ht="25.5" customHeight="1">
      <c r="B1" s="3" t="s">
        <v>43</v>
      </c>
      <c r="C1" s="3"/>
      <c r="D1" s="3"/>
    </row>
    <row r="2" spans="2:9" ht="15" customHeight="1">
      <c r="B2" s="3"/>
      <c r="C2" s="3"/>
      <c r="D2" s="3"/>
    </row>
    <row r="3" spans="2:9" ht="23.4">
      <c r="B3" s="4" t="s">
        <v>18</v>
      </c>
      <c r="C3" s="3"/>
      <c r="D3" s="3"/>
    </row>
    <row r="4" spans="2:9" ht="23.4">
      <c r="B4" s="5" t="s">
        <v>58</v>
      </c>
      <c r="C4" s="3"/>
      <c r="D4" s="3"/>
    </row>
    <row r="5" spans="2:9" ht="23.4">
      <c r="B5" s="5"/>
      <c r="C5" s="3"/>
      <c r="D5" s="3"/>
    </row>
    <row r="6" spans="2:9" ht="14.4">
      <c r="B6" s="6"/>
      <c r="C6" s="15" t="s">
        <v>21</v>
      </c>
      <c r="D6" s="15" t="s">
        <v>25</v>
      </c>
    </row>
    <row r="7" spans="2:9" ht="14.4">
      <c r="B7" s="6" t="s">
        <v>5</v>
      </c>
      <c r="C7" s="16"/>
      <c r="D7" s="16"/>
    </row>
    <row r="8" spans="2:9" ht="18">
      <c r="B8" s="6" t="s">
        <v>2</v>
      </c>
      <c r="C8" s="16"/>
      <c r="D8" s="16"/>
      <c r="F8" s="28"/>
    </row>
    <row r="9" spans="2:9" ht="14.4">
      <c r="B9" s="6" t="s">
        <v>7</v>
      </c>
      <c r="C9" s="16"/>
      <c r="D9" s="16"/>
      <c r="G9" s="29" t="s">
        <v>78</v>
      </c>
      <c r="H9" s="30">
        <v>860</v>
      </c>
      <c r="I9" s="2" t="s">
        <v>79</v>
      </c>
    </row>
    <row r="10" spans="2:9" ht="14.4">
      <c r="B10" s="7" t="s">
        <v>68</v>
      </c>
      <c r="C10" s="17" t="s">
        <v>62</v>
      </c>
      <c r="D10" s="16"/>
      <c r="G10" s="30"/>
      <c r="H10" s="30"/>
    </row>
    <row r="11" spans="2:9" ht="14.4">
      <c r="B11" s="8" t="s">
        <v>69</v>
      </c>
      <c r="C11" s="17" t="s">
        <v>62</v>
      </c>
      <c r="D11" s="16"/>
      <c r="G11" s="30"/>
      <c r="H11" s="30">
        <f>D11*(90-9)</f>
        <v>0</v>
      </c>
    </row>
    <row r="12" spans="2:9" ht="14.4">
      <c r="B12" s="8" t="s">
        <v>71</v>
      </c>
      <c r="C12" s="17" t="s">
        <v>62</v>
      </c>
      <c r="D12" s="16"/>
      <c r="G12" s="30" t="e">
        <f>H11/(C13*H9)</f>
        <v>#DIV/0!</v>
      </c>
      <c r="H12" s="30" t="e">
        <f>H11/(D12*H9)</f>
        <v>#DIV/0!</v>
      </c>
      <c r="I12" s="2" t="s">
        <v>80</v>
      </c>
    </row>
    <row r="13" spans="2:9" ht="14.4">
      <c r="B13" s="8" t="s">
        <v>72</v>
      </c>
      <c r="C13" s="16"/>
      <c r="D13" s="16"/>
    </row>
    <row r="14" spans="2:9" ht="14.4">
      <c r="B14" s="8" t="s">
        <v>70</v>
      </c>
      <c r="C14" s="16"/>
      <c r="D14" s="16"/>
    </row>
    <row r="15" spans="2:9" ht="14.4">
      <c r="B15" s="6" t="s">
        <v>73</v>
      </c>
      <c r="C15" s="15">
        <v>365</v>
      </c>
      <c r="D15" s="15"/>
    </row>
    <row r="16" spans="2:9" ht="14.4">
      <c r="B16" s="6" t="s">
        <v>10</v>
      </c>
      <c r="C16" s="18" t="e">
        <f>(C14*G12*C15*C22)/1000</f>
        <v>#DIV/0!</v>
      </c>
      <c r="D16" s="18" t="e">
        <f>((D13*H12*(C15/2)*C23)+(D14*H12*(C15/2)*C23))/1000</f>
        <v>#DIV/0!</v>
      </c>
    </row>
    <row r="17" spans="2:4" ht="15.15">
      <c r="B17" s="9"/>
      <c r="C17" s="19"/>
      <c r="D17" s="19"/>
    </row>
    <row r="18" spans="2:4" ht="28.95">
      <c r="B18" s="10" t="s">
        <v>12</v>
      </c>
      <c r="C18" s="20" t="e">
        <f>ROUNDDOWN(1-(D16/C16),2)</f>
        <v>#DIV/0!</v>
      </c>
      <c r="D18" s="23"/>
    </row>
    <row r="19" spans="2:4">
      <c r="B19" s="11"/>
      <c r="C19" s="11"/>
      <c r="D19" s="11"/>
    </row>
    <row r="20" spans="2:4" ht="14.4">
      <c r="B20" s="12" t="s">
        <v>74</v>
      </c>
      <c r="C20" s="21" t="s">
        <v>54</v>
      </c>
      <c r="D20" s="24"/>
    </row>
    <row r="21" spans="2:4">
      <c r="B21" s="13"/>
      <c r="C21" s="11"/>
      <c r="D21" s="25"/>
    </row>
    <row r="22" spans="2:4">
      <c r="B22" s="13" t="s">
        <v>14</v>
      </c>
      <c r="C22" s="11">
        <v>2.4900000000000002</v>
      </c>
      <c r="D22" s="25" t="s">
        <v>29</v>
      </c>
    </row>
    <row r="23" spans="2:4">
      <c r="B23" s="14" t="s">
        <v>44</v>
      </c>
      <c r="C23" s="22">
        <v>0.54900000000000004</v>
      </c>
      <c r="D23" s="26" t="s">
        <v>30</v>
      </c>
    </row>
    <row r="24" spans="2:4">
      <c r="B24" s="11"/>
      <c r="C24" s="11"/>
      <c r="D24" s="27" t="s">
        <v>75</v>
      </c>
    </row>
    <row r="25" spans="2:4">
      <c r="D25" s="27" t="s">
        <v>76</v>
      </c>
    </row>
    <row r="26" spans="2:4">
      <c r="D26" s="27" t="s">
        <v>77</v>
      </c>
    </row>
  </sheetData>
  <sheetProtection password="8C0D" sheet="1" objects="1" scenarios="1"/>
  <mergeCells count="4">
    <mergeCell ref="B1:D1"/>
    <mergeCell ref="C15:D15"/>
    <mergeCell ref="C18:D18"/>
    <mergeCell ref="C20:D20"/>
  </mergeCells>
  <phoneticPr fontId="2" type="Hiragana"/>
  <pageMargins left="0.7" right="0.7" top="0.75" bottom="0.75" header="0.3" footer="0.3"/>
  <pageSetup paperSize="9" scale="80" fitToWidth="1" fitToHeight="1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P51"/>
  <sheetViews>
    <sheetView view="pageBreakPreview" zoomScale="80" zoomScaleNormal="70" zoomScaleSheetLayoutView="80" workbookViewId="0">
      <selection activeCell="D11" sqref="D11"/>
    </sheetView>
  </sheetViews>
  <sheetFormatPr defaultRowHeight="13.2"/>
  <cols>
    <col min="1" max="1" width="1.5" style="1" customWidth="1"/>
    <col min="2" max="2" width="35.625" style="1" bestFit="1" customWidth="1"/>
    <col min="3" max="3" width="35.375" style="1" bestFit="1" customWidth="1"/>
    <col min="4" max="4" width="40.375" style="1" customWidth="1"/>
    <col min="5" max="5" width="4" style="1" customWidth="1"/>
    <col min="6" max="6" width="13" style="1" customWidth="1"/>
    <col min="7" max="7" width="15.5" style="1" customWidth="1"/>
    <col min="8" max="8" width="13" style="1" customWidth="1"/>
    <col min="9" max="10" width="9" style="1" customWidth="1"/>
    <col min="11" max="11" width="41.625" style="1" customWidth="1"/>
    <col min="12" max="13" width="15.625" style="1" customWidth="1"/>
    <col min="14" max="16384" width="9" style="1" customWidth="1"/>
  </cols>
  <sheetData>
    <row r="1" spans="2:15" ht="37.5" customHeight="1">
      <c r="B1" s="31" t="s">
        <v>57</v>
      </c>
    </row>
    <row r="2" spans="2:15" ht="16.5" customHeight="1"/>
    <row r="3" spans="2:15" ht="23.4">
      <c r="B3" s="32" t="s">
        <v>15</v>
      </c>
      <c r="C3" s="3"/>
      <c r="D3" s="3"/>
      <c r="K3" s="1" t="s">
        <v>49</v>
      </c>
    </row>
    <row r="4" spans="2:15" ht="23.4">
      <c r="B4" s="5" t="s">
        <v>58</v>
      </c>
      <c r="C4" s="3"/>
      <c r="D4" s="3"/>
    </row>
    <row r="5" spans="2:15" ht="23.4">
      <c r="B5" s="3"/>
      <c r="C5" s="3"/>
      <c r="D5" s="3"/>
      <c r="K5" s="1" t="s">
        <v>35</v>
      </c>
    </row>
    <row r="6" spans="2:15" ht="14.4">
      <c r="B6" s="6"/>
      <c r="C6" s="15" t="s">
        <v>21</v>
      </c>
      <c r="D6" s="15" t="s">
        <v>25</v>
      </c>
      <c r="K6" s="43" t="s">
        <v>36</v>
      </c>
      <c r="L6" s="43"/>
    </row>
    <row r="7" spans="2:15" ht="14.4">
      <c r="B7" s="6" t="s">
        <v>5</v>
      </c>
      <c r="C7" s="16"/>
      <c r="D7" s="16"/>
      <c r="K7" s="1" t="s">
        <v>37</v>
      </c>
      <c r="L7" s="1">
        <f>G19*3.6</f>
        <v>17.28</v>
      </c>
      <c r="M7" s="1" t="s">
        <v>52</v>
      </c>
    </row>
    <row r="8" spans="2:15" ht="14.4">
      <c r="B8" s="6" t="s">
        <v>2</v>
      </c>
      <c r="C8" s="16"/>
      <c r="D8" s="16"/>
      <c r="K8" s="1" t="s">
        <v>38</v>
      </c>
      <c r="L8" s="1">
        <f>L7/N10</f>
        <v>0.38400000000000001</v>
      </c>
      <c r="M8" s="1" t="s">
        <v>42</v>
      </c>
    </row>
    <row r="9" spans="2:15" ht="14.4">
      <c r="B9" s="6" t="s">
        <v>7</v>
      </c>
      <c r="C9" s="16"/>
      <c r="D9" s="16"/>
      <c r="K9" s="1" t="s">
        <v>39</v>
      </c>
      <c r="L9" s="1">
        <f>L8*C17</f>
        <v>1382.4</v>
      </c>
      <c r="M9" s="1" t="s">
        <v>53</v>
      </c>
    </row>
    <row r="10" spans="2:15" ht="18">
      <c r="B10" s="33" t="s">
        <v>64</v>
      </c>
      <c r="C10" s="16"/>
      <c r="D10" s="16"/>
      <c r="F10" s="39" t="s">
        <v>26</v>
      </c>
      <c r="K10" s="1" t="s">
        <v>3</v>
      </c>
      <c r="L10" s="45">
        <f>C26*L9</f>
        <v>3082.752</v>
      </c>
      <c r="M10" s="1" t="s">
        <v>55</v>
      </c>
      <c r="N10" s="1">
        <v>45</v>
      </c>
      <c r="O10" s="1" t="s">
        <v>0</v>
      </c>
    </row>
    <row r="11" spans="2:15" ht="18">
      <c r="B11" s="6" t="s">
        <v>20</v>
      </c>
      <c r="C11" s="16"/>
      <c r="D11" s="16"/>
      <c r="F11" s="39" t="s">
        <v>46</v>
      </c>
      <c r="K11" s="43" t="s">
        <v>40</v>
      </c>
      <c r="L11" s="43"/>
    </row>
    <row r="12" spans="2:15" ht="18">
      <c r="B12" s="6" t="s">
        <v>5</v>
      </c>
      <c r="C12" s="16"/>
      <c r="D12" s="16"/>
      <c r="F12" s="39" t="s">
        <v>47</v>
      </c>
      <c r="K12" s="1" t="s">
        <v>41</v>
      </c>
      <c r="L12" s="45">
        <f>1.2*C17</f>
        <v>4320</v>
      </c>
      <c r="M12" s="1" t="s">
        <v>23</v>
      </c>
    </row>
    <row r="13" spans="2:15" ht="14.4">
      <c r="B13" s="6" t="s">
        <v>2</v>
      </c>
      <c r="C13" s="16"/>
      <c r="D13" s="16"/>
      <c r="F13" s="40" t="s">
        <v>45</v>
      </c>
      <c r="K13" s="1" t="s">
        <v>22</v>
      </c>
      <c r="L13" s="45">
        <f>L12*C25</f>
        <v>2371.6800000000003</v>
      </c>
      <c r="M13" s="1" t="s">
        <v>55</v>
      </c>
    </row>
    <row r="14" spans="2:15" ht="14.4">
      <c r="B14" s="6" t="s">
        <v>7</v>
      </c>
      <c r="C14" s="16"/>
      <c r="D14" s="16"/>
      <c r="K14" s="43" t="s">
        <v>6</v>
      </c>
      <c r="L14" s="43"/>
      <c r="M14" s="45"/>
    </row>
    <row r="15" spans="2:15" ht="14.4">
      <c r="B15" s="33" t="s">
        <v>64</v>
      </c>
      <c r="C15" s="16"/>
      <c r="D15" s="16"/>
      <c r="F15" s="1">
        <f>C10+(C15*C16)</f>
        <v>0</v>
      </c>
      <c r="G15" s="1">
        <f>(D10+D15)/45000*3600</f>
        <v>0</v>
      </c>
      <c r="H15" s="1">
        <f>(($D$15+$D$10)*3.6/45)</f>
        <v>0</v>
      </c>
      <c r="K15" s="1" t="s">
        <v>28</v>
      </c>
      <c r="L15" s="1">
        <f>2.9*3.6</f>
        <v>10.44</v>
      </c>
      <c r="M15" s="1" t="s">
        <v>52</v>
      </c>
    </row>
    <row r="16" spans="2:15" ht="14.4">
      <c r="B16" s="6" t="s">
        <v>20</v>
      </c>
      <c r="C16" s="16"/>
      <c r="D16" s="16"/>
      <c r="K16" s="1" t="s">
        <v>1</v>
      </c>
      <c r="L16" s="46">
        <f>L15/(0.89*45)</f>
        <v>0.26067415730337079</v>
      </c>
      <c r="M16" s="1" t="s">
        <v>42</v>
      </c>
    </row>
    <row r="17" spans="2:16" ht="14.4">
      <c r="B17" s="6" t="s">
        <v>9</v>
      </c>
      <c r="C17" s="15">
        <v>3600</v>
      </c>
      <c r="D17" s="15"/>
      <c r="F17" s="1" t="s">
        <v>8</v>
      </c>
      <c r="G17" s="1" t="s">
        <v>34</v>
      </c>
      <c r="H17" s="1" t="s">
        <v>4</v>
      </c>
      <c r="K17" s="1" t="s">
        <v>39</v>
      </c>
      <c r="L17" s="47">
        <f>L16*C17</f>
        <v>938.42696629213481</v>
      </c>
      <c r="M17" s="1" t="s">
        <v>53</v>
      </c>
    </row>
    <row r="18" spans="2:16" ht="14.4">
      <c r="B18" s="6" t="s">
        <v>10</v>
      </c>
      <c r="C18" s="18">
        <f>F15*C17*C24</f>
        <v>0</v>
      </c>
      <c r="D18" s="18">
        <f>-($C$17*1.2)*$C$25+(($C$17*(($D$15+$D$10)*3.6/45))+($G$18*$C$17)-($H$18*$C$17))*C26</f>
        <v>-1381.6201348314607</v>
      </c>
      <c r="G18" s="1">
        <v>0.38400000000000001</v>
      </c>
      <c r="H18" s="1">
        <f>10.44/(45*89%)</f>
        <v>0.26067415730337079</v>
      </c>
      <c r="K18" s="1" t="s">
        <v>19</v>
      </c>
      <c r="L18" s="47">
        <f>L17*C26</f>
        <v>2092.6921348314604</v>
      </c>
      <c r="M18" s="1" t="s">
        <v>55</v>
      </c>
    </row>
    <row r="19" spans="2:16" ht="15.15">
      <c r="B19" s="9"/>
      <c r="C19" s="19"/>
      <c r="D19" s="19"/>
      <c r="G19" s="1">
        <v>4.8</v>
      </c>
    </row>
    <row r="20" spans="2:16" ht="28.95">
      <c r="B20" s="10" t="s">
        <v>12</v>
      </c>
      <c r="C20" s="20" t="e">
        <f>ROUNDDOWN(1-(D18/C18),2)</f>
        <v>#DIV/0!</v>
      </c>
      <c r="D20" s="23"/>
      <c r="K20" s="44" t="s">
        <v>24</v>
      </c>
      <c r="L20" s="44"/>
      <c r="M20" s="44"/>
      <c r="N20" s="44"/>
      <c r="O20" s="44"/>
    </row>
    <row r="21" spans="2:16" ht="18">
      <c r="B21" s="11"/>
      <c r="C21" s="11"/>
      <c r="D21" s="11"/>
      <c r="F21" s="39"/>
      <c r="K21" s="1" t="s">
        <v>13</v>
      </c>
      <c r="L21" s="48">
        <f>(($C$17*(($D$15+$D$10)*3.6/45))*C26)+L10-L13-L18</f>
        <v>-1381.6201348314607</v>
      </c>
    </row>
    <row r="22" spans="2:16" ht="14.4">
      <c r="B22" s="12" t="s">
        <v>16</v>
      </c>
      <c r="C22" s="36">
        <v>3600</v>
      </c>
      <c r="D22" s="38" t="s">
        <v>31</v>
      </c>
    </row>
    <row r="23" spans="2:16">
      <c r="B23" s="13"/>
      <c r="C23" s="11"/>
      <c r="D23" s="25"/>
    </row>
    <row r="24" spans="2:16">
      <c r="B24" s="13" t="s">
        <v>14</v>
      </c>
      <c r="C24" s="11">
        <v>2.4900000000000002</v>
      </c>
      <c r="D24" s="25" t="s">
        <v>29</v>
      </c>
      <c r="P24" s="45"/>
    </row>
    <row r="25" spans="2:16">
      <c r="B25" s="34" t="s">
        <v>11</v>
      </c>
      <c r="C25" s="11">
        <v>0.54900000000000004</v>
      </c>
      <c r="D25" s="25" t="s">
        <v>30</v>
      </c>
    </row>
    <row r="26" spans="2:16">
      <c r="B26" s="35"/>
      <c r="C26" s="22">
        <v>2.23</v>
      </c>
      <c r="D26" s="26" t="s">
        <v>32</v>
      </c>
    </row>
    <row r="27" spans="2:16" ht="33" customHeight="1">
      <c r="B27" s="11"/>
      <c r="C27" s="11"/>
      <c r="D27" s="11"/>
    </row>
    <row r="28" spans="2:16" ht="23.4">
      <c r="B28" s="32" t="s">
        <v>56</v>
      </c>
      <c r="C28" s="3"/>
      <c r="D28" s="3"/>
      <c r="K28" s="1" t="s">
        <v>49</v>
      </c>
    </row>
    <row r="29" spans="2:16" ht="23.4">
      <c r="B29" s="5" t="s">
        <v>58</v>
      </c>
      <c r="C29" s="3"/>
      <c r="D29" s="3"/>
    </row>
    <row r="30" spans="2:16" ht="23.4">
      <c r="B30" s="3"/>
      <c r="C30" s="3"/>
      <c r="D30" s="3"/>
      <c r="K30" s="1" t="s">
        <v>35</v>
      </c>
    </row>
    <row r="31" spans="2:16" ht="14.4">
      <c r="B31" s="6"/>
      <c r="C31" s="15" t="s">
        <v>21</v>
      </c>
      <c r="D31" s="15" t="s">
        <v>25</v>
      </c>
      <c r="K31" s="43" t="s">
        <v>36</v>
      </c>
      <c r="L31" s="43"/>
    </row>
    <row r="32" spans="2:16" ht="14.4">
      <c r="B32" s="6" t="s">
        <v>5</v>
      </c>
      <c r="C32" s="16"/>
      <c r="D32" s="16"/>
      <c r="K32" s="1" t="s">
        <v>37</v>
      </c>
      <c r="L32" s="1">
        <f>G44*3.6</f>
        <v>17.28</v>
      </c>
      <c r="M32" s="1" t="s">
        <v>52</v>
      </c>
    </row>
    <row r="33" spans="2:15" ht="14.4">
      <c r="B33" s="6" t="s">
        <v>2</v>
      </c>
      <c r="C33" s="16"/>
      <c r="D33" s="16"/>
      <c r="K33" s="1" t="s">
        <v>38</v>
      </c>
      <c r="L33" s="49">
        <f>L32/N35</f>
        <v>0.17199985666678613</v>
      </c>
      <c r="M33" s="1" t="s">
        <v>42</v>
      </c>
    </row>
    <row r="34" spans="2:15" ht="14.4">
      <c r="B34" s="6" t="s">
        <v>7</v>
      </c>
      <c r="C34" s="16"/>
      <c r="D34" s="16"/>
      <c r="K34" s="1" t="s">
        <v>39</v>
      </c>
      <c r="L34" s="1">
        <f>L33*C42</f>
        <v>619.19948400043006</v>
      </c>
      <c r="M34" s="1" t="s">
        <v>53</v>
      </c>
    </row>
    <row r="35" spans="2:15" ht="18">
      <c r="B35" s="33" t="s">
        <v>64</v>
      </c>
      <c r="C35" s="16"/>
      <c r="D35" s="16"/>
      <c r="F35" s="39" t="s">
        <v>26</v>
      </c>
      <c r="K35" s="1" t="s">
        <v>3</v>
      </c>
      <c r="L35" s="45">
        <f>C51*L34</f>
        <v>1857.5984520012903</v>
      </c>
      <c r="M35" s="1" t="s">
        <v>55</v>
      </c>
      <c r="N35" s="40">
        <v>100.4652</v>
      </c>
      <c r="O35" s="1" t="s">
        <v>0</v>
      </c>
    </row>
    <row r="36" spans="2:15" ht="18">
      <c r="B36" s="6" t="s">
        <v>20</v>
      </c>
      <c r="C36" s="16"/>
      <c r="D36" s="16"/>
      <c r="F36" s="39" t="s">
        <v>46</v>
      </c>
      <c r="K36" s="43" t="s">
        <v>40</v>
      </c>
      <c r="L36" s="43"/>
    </row>
    <row r="37" spans="2:15" ht="18">
      <c r="B37" s="6" t="s">
        <v>5</v>
      </c>
      <c r="C37" s="16"/>
      <c r="D37" s="16"/>
      <c r="F37" s="39" t="s">
        <v>47</v>
      </c>
      <c r="K37" s="1" t="s">
        <v>41</v>
      </c>
      <c r="L37" s="45">
        <f>1.2*C42</f>
        <v>4320</v>
      </c>
      <c r="M37" s="1" t="s">
        <v>23</v>
      </c>
    </row>
    <row r="38" spans="2:15" ht="14.4">
      <c r="B38" s="6" t="s">
        <v>2</v>
      </c>
      <c r="C38" s="16"/>
      <c r="D38" s="16"/>
      <c r="F38" s="40" t="s">
        <v>45</v>
      </c>
      <c r="K38" s="1" t="s">
        <v>22</v>
      </c>
      <c r="L38" s="45">
        <f>L37*C50</f>
        <v>2371.6800000000003</v>
      </c>
      <c r="M38" s="1" t="s">
        <v>55</v>
      </c>
    </row>
    <row r="39" spans="2:15" ht="14.4">
      <c r="B39" s="6" t="s">
        <v>7</v>
      </c>
      <c r="C39" s="16"/>
      <c r="D39" s="16"/>
      <c r="K39" s="43" t="s">
        <v>6</v>
      </c>
      <c r="L39" s="43"/>
      <c r="M39" s="45"/>
    </row>
    <row r="40" spans="2:15" ht="14.4">
      <c r="B40" s="33" t="s">
        <v>64</v>
      </c>
      <c r="C40" s="16"/>
      <c r="D40" s="16"/>
      <c r="F40" s="1">
        <f>C35+(C40*C41)</f>
        <v>0</v>
      </c>
      <c r="G40" s="1">
        <f>(D35+D40)/45000*3600</f>
        <v>0</v>
      </c>
      <c r="H40" s="1">
        <f>(($D$15+$D$10)*3.6/45)</f>
        <v>0</v>
      </c>
      <c r="K40" s="1" t="s">
        <v>28</v>
      </c>
      <c r="L40" s="1">
        <f>2.9*3.6</f>
        <v>10.44</v>
      </c>
      <c r="M40" s="1" t="s">
        <v>52</v>
      </c>
    </row>
    <row r="41" spans="2:15" ht="14.4">
      <c r="B41" s="6" t="s">
        <v>20</v>
      </c>
      <c r="C41" s="16"/>
      <c r="D41" s="16"/>
      <c r="K41" s="1" t="s">
        <v>1</v>
      </c>
      <c r="L41" s="42">
        <f>L40/(0.89*100.4652)</f>
        <v>0.11676020232529956</v>
      </c>
      <c r="M41" s="1" t="s">
        <v>42</v>
      </c>
    </row>
    <row r="42" spans="2:15" ht="14.4">
      <c r="B42" s="6" t="s">
        <v>9</v>
      </c>
      <c r="C42" s="15">
        <v>3600</v>
      </c>
      <c r="D42" s="15"/>
      <c r="F42" s="1" t="s">
        <v>8</v>
      </c>
      <c r="G42" s="1" t="s">
        <v>34</v>
      </c>
      <c r="H42" s="1" t="s">
        <v>4</v>
      </c>
      <c r="K42" s="1" t="s">
        <v>39</v>
      </c>
      <c r="L42" s="47">
        <f>L41*C42</f>
        <v>420.33672837107844</v>
      </c>
      <c r="M42" s="1" t="s">
        <v>53</v>
      </c>
    </row>
    <row r="43" spans="2:15" ht="14.4">
      <c r="B43" s="6" t="s">
        <v>10</v>
      </c>
      <c r="C43" s="18">
        <f>F40*C42*C49</f>
        <v>0</v>
      </c>
      <c r="D43" s="18">
        <f>-($C$42*1.2)*$C$50+(($C$42*(($D$39+$D$35)*3.6/N35))+($G$43*$C$42)-($H$43*$C$42))*C51</f>
        <v>-1775.0917331119454</v>
      </c>
      <c r="G43" s="41">
        <f>+L33</f>
        <v>0.17199985666678613</v>
      </c>
      <c r="H43" s="42">
        <f>+L41</f>
        <v>0.11676020232529956</v>
      </c>
      <c r="K43" s="1" t="s">
        <v>19</v>
      </c>
      <c r="L43" s="47">
        <f>L42*C51</f>
        <v>1261.0101851132354</v>
      </c>
      <c r="M43" s="1" t="s">
        <v>55</v>
      </c>
    </row>
    <row r="44" spans="2:15" ht="15.15">
      <c r="B44" s="9"/>
      <c r="C44" s="19"/>
      <c r="D44" s="19"/>
      <c r="G44" s="1">
        <v>4.8</v>
      </c>
    </row>
    <row r="45" spans="2:15" ht="28.95">
      <c r="B45" s="10" t="s">
        <v>12</v>
      </c>
      <c r="C45" s="20" t="e">
        <f>ROUNDDOWN(1-(D43/C43),2)</f>
        <v>#DIV/0!</v>
      </c>
      <c r="D45" s="23"/>
      <c r="K45" s="44" t="s">
        <v>24</v>
      </c>
      <c r="L45" s="44"/>
      <c r="M45" s="44"/>
      <c r="N45" s="44"/>
      <c r="O45" s="44"/>
    </row>
    <row r="46" spans="2:15" ht="18">
      <c r="B46" s="11"/>
      <c r="C46" s="11"/>
      <c r="D46" s="11"/>
      <c r="F46" s="39"/>
      <c r="K46" s="1" t="s">
        <v>13</v>
      </c>
      <c r="L46" s="48">
        <f>(($C$17*(($D$15+$D$10)*3.6/N35))*C51)+L35-L38-L43</f>
        <v>-1775.0917331119454</v>
      </c>
    </row>
    <row r="47" spans="2:15" ht="14.4">
      <c r="B47" s="12" t="s">
        <v>16</v>
      </c>
      <c r="C47" s="36">
        <v>3600</v>
      </c>
      <c r="D47" s="38" t="s">
        <v>31</v>
      </c>
    </row>
    <row r="48" spans="2:15">
      <c r="B48" s="13"/>
      <c r="C48" s="11"/>
      <c r="D48" s="25"/>
    </row>
    <row r="49" spans="2:16">
      <c r="B49" s="13" t="s">
        <v>14</v>
      </c>
      <c r="C49" s="11">
        <v>2.4900000000000002</v>
      </c>
      <c r="D49" s="25" t="s">
        <v>29</v>
      </c>
      <c r="P49" s="45"/>
    </row>
    <row r="50" spans="2:16">
      <c r="B50" s="34" t="s">
        <v>11</v>
      </c>
      <c r="C50" s="11">
        <v>0.54900000000000004</v>
      </c>
      <c r="D50" s="25" t="s">
        <v>30</v>
      </c>
    </row>
    <row r="51" spans="2:16">
      <c r="B51" s="35"/>
      <c r="C51" s="37">
        <v>3</v>
      </c>
      <c r="D51" s="26" t="s">
        <v>32</v>
      </c>
    </row>
  </sheetData>
  <sheetProtection password="8C0D" sheet="1" objects="1" scenarios="1"/>
  <mergeCells count="10">
    <mergeCell ref="K11:L11"/>
    <mergeCell ref="K14:L14"/>
    <mergeCell ref="C17:D17"/>
    <mergeCell ref="C20:D20"/>
    <mergeCell ref="K20:O20"/>
    <mergeCell ref="K36:L36"/>
    <mergeCell ref="K39:L39"/>
    <mergeCell ref="C42:D42"/>
    <mergeCell ref="C45:D45"/>
    <mergeCell ref="K45:O45"/>
  </mergeCells>
  <phoneticPr fontId="2" type="Hiragana"/>
  <pageMargins left="0.7" right="0.7" top="0.75" bottom="0.75" header="0.3" footer="0.3"/>
  <pageSetup paperSize="9" scale="80" fitToWidth="1" fitToHeight="1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P51"/>
  <sheetViews>
    <sheetView view="pageBreakPreview" zoomScale="80" zoomScaleNormal="70" zoomScaleSheetLayoutView="80" workbookViewId="0">
      <selection activeCell="G15" sqref="G15"/>
    </sheetView>
  </sheetViews>
  <sheetFormatPr defaultRowHeight="13.2"/>
  <cols>
    <col min="1" max="1" width="1.5" style="1" customWidth="1"/>
    <col min="2" max="2" width="35.625" style="1" bestFit="1" customWidth="1"/>
    <col min="3" max="3" width="35.375" style="1" bestFit="1" customWidth="1"/>
    <col min="4" max="4" width="40.375" style="1" customWidth="1"/>
    <col min="5" max="5" width="4" style="1" customWidth="1"/>
    <col min="6" max="6" width="13" style="1" customWidth="1"/>
    <col min="7" max="7" width="15.5" style="1" customWidth="1"/>
    <col min="8" max="8" width="13" style="1" customWidth="1"/>
    <col min="9" max="10" width="9" style="1" customWidth="1"/>
    <col min="11" max="11" width="41.625" style="1" customWidth="1"/>
    <col min="12" max="13" width="15.625" style="1" customWidth="1"/>
    <col min="14" max="16384" width="9" style="1" customWidth="1"/>
  </cols>
  <sheetData>
    <row r="1" spans="2:15" s="1" customFormat="1" ht="37.5" customHeight="1">
      <c r="B1" s="31" t="s">
        <v>57</v>
      </c>
    </row>
    <row r="2" spans="2:15" s="1" customFormat="1" ht="16.5" customHeight="1"/>
    <row r="3" spans="2:15" ht="23.4">
      <c r="B3" s="32" t="s">
        <v>65</v>
      </c>
      <c r="C3" s="3"/>
      <c r="D3" s="3"/>
      <c r="K3" s="1" t="s">
        <v>49</v>
      </c>
    </row>
    <row r="4" spans="2:15" ht="23.4">
      <c r="B4" s="5" t="s">
        <v>58</v>
      </c>
      <c r="C4" s="3"/>
      <c r="D4" s="3"/>
    </row>
    <row r="5" spans="2:15" ht="23.4">
      <c r="B5" s="3"/>
      <c r="C5" s="3"/>
      <c r="D5" s="3"/>
      <c r="K5" s="1" t="s">
        <v>59</v>
      </c>
    </row>
    <row r="6" spans="2:15" ht="14.4">
      <c r="B6" s="6"/>
      <c r="C6" s="15" t="s">
        <v>21</v>
      </c>
      <c r="D6" s="15" t="s">
        <v>25</v>
      </c>
      <c r="K6" s="43" t="s">
        <v>36</v>
      </c>
      <c r="L6" s="43"/>
    </row>
    <row r="7" spans="2:15" ht="14.4">
      <c r="B7" s="6" t="s">
        <v>5</v>
      </c>
      <c r="C7" s="16"/>
      <c r="D7" s="16"/>
      <c r="K7" s="1" t="s">
        <v>17</v>
      </c>
      <c r="L7" s="40">
        <f>G19*3.6</f>
        <v>6.48</v>
      </c>
      <c r="M7" s="1" t="s">
        <v>52</v>
      </c>
    </row>
    <row r="8" spans="2:15" ht="14.4">
      <c r="B8" s="6" t="s">
        <v>2</v>
      </c>
      <c r="C8" s="16"/>
      <c r="D8" s="16"/>
      <c r="K8" s="1" t="s">
        <v>38</v>
      </c>
      <c r="L8" s="40">
        <f>L7/N10</f>
        <v>0.14400000000000002</v>
      </c>
      <c r="M8" s="1" t="s">
        <v>42</v>
      </c>
    </row>
    <row r="9" spans="2:15" ht="14.4">
      <c r="B9" s="6" t="s">
        <v>7</v>
      </c>
      <c r="C9" s="16"/>
      <c r="D9" s="16"/>
      <c r="K9" s="1" t="s">
        <v>39</v>
      </c>
      <c r="L9" s="1">
        <f>L8*C17</f>
        <v>1022.4000000000001</v>
      </c>
      <c r="M9" s="1" t="s">
        <v>53</v>
      </c>
    </row>
    <row r="10" spans="2:15" ht="18">
      <c r="B10" s="33" t="s">
        <v>64</v>
      </c>
      <c r="C10" s="16"/>
      <c r="D10" s="16"/>
      <c r="F10" s="39" t="s">
        <v>26</v>
      </c>
      <c r="K10" s="1" t="s">
        <v>3</v>
      </c>
      <c r="L10" s="45">
        <f>C26*L9</f>
        <v>2279.9520000000002</v>
      </c>
      <c r="M10" s="1" t="s">
        <v>55</v>
      </c>
      <c r="N10" s="1">
        <v>45</v>
      </c>
      <c r="O10" s="1" t="s">
        <v>0</v>
      </c>
    </row>
    <row r="11" spans="2:15" ht="18">
      <c r="B11" s="6" t="s">
        <v>20</v>
      </c>
      <c r="C11" s="16"/>
      <c r="D11" s="16"/>
      <c r="F11" s="39" t="s">
        <v>48</v>
      </c>
      <c r="K11" s="43" t="s">
        <v>40</v>
      </c>
      <c r="L11" s="43"/>
    </row>
    <row r="12" spans="2:15" ht="18">
      <c r="B12" s="6" t="s">
        <v>5</v>
      </c>
      <c r="C12" s="16"/>
      <c r="D12" s="16"/>
      <c r="F12" s="39" t="s">
        <v>33</v>
      </c>
      <c r="K12" s="1" t="s">
        <v>51</v>
      </c>
      <c r="L12" s="51">
        <f>0.7*C17</f>
        <v>4970</v>
      </c>
      <c r="M12" s="1" t="s">
        <v>23</v>
      </c>
    </row>
    <row r="13" spans="2:15" ht="14.4">
      <c r="B13" s="6" t="s">
        <v>2</v>
      </c>
      <c r="C13" s="16"/>
      <c r="D13" s="16"/>
      <c r="F13" s="40" t="s">
        <v>45</v>
      </c>
      <c r="K13" s="1" t="s">
        <v>22</v>
      </c>
      <c r="L13" s="51">
        <f>L12*C25</f>
        <v>2728.53</v>
      </c>
      <c r="M13" s="1" t="s">
        <v>55</v>
      </c>
    </row>
    <row r="14" spans="2:15" ht="14.4">
      <c r="B14" s="6" t="s">
        <v>7</v>
      </c>
      <c r="C14" s="16"/>
      <c r="D14" s="16"/>
      <c r="K14" s="43" t="s">
        <v>50</v>
      </c>
      <c r="L14" s="43"/>
      <c r="M14" s="45"/>
    </row>
    <row r="15" spans="2:15" ht="14.4">
      <c r="B15" s="33" t="s">
        <v>64</v>
      </c>
      <c r="C15" s="16"/>
      <c r="D15" s="16"/>
      <c r="F15" s="1">
        <f>C10+(C15*C16)</f>
        <v>0</v>
      </c>
      <c r="G15" s="1">
        <f>(D10+D15)/45000*3600</f>
        <v>0</v>
      </c>
      <c r="H15" s="1">
        <f>(($D$15+$D$10)*3.6/45)</f>
        <v>0</v>
      </c>
      <c r="K15" s="1" t="s">
        <v>60</v>
      </c>
      <c r="L15" s="40">
        <f>1*3.6</f>
        <v>3.6</v>
      </c>
      <c r="M15" s="1" t="s">
        <v>52</v>
      </c>
    </row>
    <row r="16" spans="2:15" ht="14.4">
      <c r="B16" s="6" t="s">
        <v>20</v>
      </c>
      <c r="C16" s="16"/>
      <c r="D16" s="16"/>
      <c r="K16" s="1" t="s">
        <v>61</v>
      </c>
      <c r="L16" s="42">
        <f>L15/(0.95*N10)</f>
        <v>8.4210526315789472e-002</v>
      </c>
      <c r="M16" s="1" t="s">
        <v>42</v>
      </c>
    </row>
    <row r="17" spans="2:16" ht="14.4">
      <c r="B17" s="6" t="s">
        <v>9</v>
      </c>
      <c r="C17" s="50">
        <v>7100</v>
      </c>
      <c r="D17" s="50"/>
      <c r="F17" s="1" t="s">
        <v>8</v>
      </c>
      <c r="G17" s="1" t="s">
        <v>27</v>
      </c>
      <c r="H17" s="1" t="s">
        <v>4</v>
      </c>
      <c r="K17" s="1" t="s">
        <v>39</v>
      </c>
      <c r="L17" s="47">
        <f>L16*C17</f>
        <v>597.8947368421052</v>
      </c>
      <c r="M17" s="1" t="s">
        <v>53</v>
      </c>
    </row>
    <row r="18" spans="2:16" ht="14.4">
      <c r="B18" s="6" t="s">
        <v>10</v>
      </c>
      <c r="C18" s="18">
        <f>F15*C17*C24</f>
        <v>0</v>
      </c>
      <c r="D18" s="18">
        <f>-($C$17*0.7)*$C$25+(($C$17*(($D$15+$D$10)*3.6/45))+($G$18*$C$17)-($H$18*$C$17))*C26</f>
        <v>-1781.8832631578946</v>
      </c>
      <c r="G18" s="40">
        <f>+L8</f>
        <v>0.14400000000000002</v>
      </c>
      <c r="H18" s="42">
        <f>+L16</f>
        <v>8.4210526315789472e-002</v>
      </c>
      <c r="K18" s="1" t="s">
        <v>19</v>
      </c>
      <c r="L18" s="47">
        <f>L17*C26</f>
        <v>1333.3052631578946</v>
      </c>
      <c r="M18" s="1" t="s">
        <v>55</v>
      </c>
    </row>
    <row r="19" spans="2:16" ht="15.15">
      <c r="B19" s="9"/>
      <c r="C19" s="19"/>
      <c r="D19" s="19"/>
      <c r="G19" s="40">
        <v>1.8</v>
      </c>
    </row>
    <row r="20" spans="2:16" ht="28.95">
      <c r="B20" s="10" t="s">
        <v>12</v>
      </c>
      <c r="C20" s="20" t="e">
        <f>ROUNDDOWN(1-(D18/C18),2)</f>
        <v>#DIV/0!</v>
      </c>
      <c r="D20" s="23"/>
      <c r="K20" s="44" t="s">
        <v>63</v>
      </c>
      <c r="L20" s="44"/>
      <c r="M20" s="44"/>
      <c r="N20" s="44"/>
      <c r="O20" s="44"/>
    </row>
    <row r="21" spans="2:16" ht="18">
      <c r="B21" s="11"/>
      <c r="C21" s="11"/>
      <c r="D21" s="11"/>
      <c r="F21" s="39"/>
      <c r="K21" s="1" t="s">
        <v>13</v>
      </c>
      <c r="L21" s="48">
        <f>(($C$17*(($D$15+$D$10)*3.6/N10))*C26)+L10-L13-L18</f>
        <v>-1781.8832631578946</v>
      </c>
    </row>
    <row r="22" spans="2:16" ht="14.4">
      <c r="B22" s="12" t="s">
        <v>16</v>
      </c>
      <c r="C22" s="36">
        <v>7100</v>
      </c>
      <c r="D22" s="38" t="s">
        <v>67</v>
      </c>
    </row>
    <row r="23" spans="2:16">
      <c r="B23" s="13"/>
      <c r="C23" s="11"/>
      <c r="D23" s="25"/>
    </row>
    <row r="24" spans="2:16">
      <c r="B24" s="13" t="s">
        <v>14</v>
      </c>
      <c r="C24" s="11">
        <v>2.4900000000000002</v>
      </c>
      <c r="D24" s="25" t="s">
        <v>29</v>
      </c>
      <c r="P24" s="45"/>
    </row>
    <row r="25" spans="2:16">
      <c r="B25" s="13"/>
      <c r="C25" s="11">
        <v>0.54900000000000004</v>
      </c>
      <c r="D25" s="25" t="s">
        <v>30</v>
      </c>
    </row>
    <row r="26" spans="2:16">
      <c r="B26" s="35"/>
      <c r="C26" s="22">
        <v>2.23</v>
      </c>
      <c r="D26" s="26" t="s">
        <v>32</v>
      </c>
    </row>
    <row r="27" spans="2:16" ht="33" customHeight="1">
      <c r="B27" s="11"/>
      <c r="C27" s="11"/>
      <c r="D27" s="11"/>
    </row>
    <row r="28" spans="2:16" ht="23.4">
      <c r="B28" s="32" t="s">
        <v>66</v>
      </c>
      <c r="C28" s="3"/>
      <c r="D28" s="3"/>
      <c r="K28" s="1" t="s">
        <v>49</v>
      </c>
    </row>
    <row r="29" spans="2:16" ht="23.4">
      <c r="B29" s="5" t="s">
        <v>58</v>
      </c>
      <c r="C29" s="3"/>
      <c r="D29" s="3"/>
    </row>
    <row r="30" spans="2:16" ht="23.4">
      <c r="B30" s="3"/>
      <c r="C30" s="3"/>
      <c r="D30" s="3"/>
      <c r="K30" s="1" t="s">
        <v>35</v>
      </c>
    </row>
    <row r="31" spans="2:16" ht="14.4">
      <c r="B31" s="6"/>
      <c r="C31" s="15" t="s">
        <v>21</v>
      </c>
      <c r="D31" s="15" t="s">
        <v>25</v>
      </c>
      <c r="K31" s="43" t="s">
        <v>36</v>
      </c>
      <c r="L31" s="43"/>
    </row>
    <row r="32" spans="2:16" ht="14.4">
      <c r="B32" s="6" t="s">
        <v>5</v>
      </c>
      <c r="C32" s="16"/>
      <c r="D32" s="16"/>
      <c r="K32" s="1" t="s">
        <v>17</v>
      </c>
      <c r="L32" s="40">
        <f>G44*3.6</f>
        <v>6.48</v>
      </c>
      <c r="M32" s="1" t="s">
        <v>52</v>
      </c>
    </row>
    <row r="33" spans="2:15" ht="14.4">
      <c r="B33" s="6" t="s">
        <v>2</v>
      </c>
      <c r="C33" s="16"/>
      <c r="D33" s="16"/>
      <c r="K33" s="1" t="s">
        <v>38</v>
      </c>
      <c r="L33" s="41">
        <f>L32/N35</f>
        <v>6.4499946250044793e-002</v>
      </c>
      <c r="M33" s="1" t="s">
        <v>42</v>
      </c>
    </row>
    <row r="34" spans="2:15" ht="14.4">
      <c r="B34" s="6" t="s">
        <v>7</v>
      </c>
      <c r="C34" s="16"/>
      <c r="D34" s="16"/>
      <c r="K34" s="1" t="s">
        <v>39</v>
      </c>
      <c r="L34" s="52">
        <f>L33*C42</f>
        <v>457.94961837531804</v>
      </c>
      <c r="M34" s="1" t="s">
        <v>53</v>
      </c>
    </row>
    <row r="35" spans="2:15" ht="18">
      <c r="B35" s="33" t="s">
        <v>64</v>
      </c>
      <c r="C35" s="16"/>
      <c r="D35" s="16"/>
      <c r="F35" s="39" t="s">
        <v>26</v>
      </c>
      <c r="K35" s="1" t="s">
        <v>3</v>
      </c>
      <c r="L35" s="45">
        <f>C51*L34</f>
        <v>1373.8488551259541</v>
      </c>
      <c r="M35" s="1" t="s">
        <v>55</v>
      </c>
      <c r="N35" s="40">
        <v>100.4652</v>
      </c>
      <c r="O35" s="1" t="s">
        <v>0</v>
      </c>
    </row>
    <row r="36" spans="2:15" ht="18">
      <c r="B36" s="6" t="s">
        <v>20</v>
      </c>
      <c r="C36" s="16"/>
      <c r="D36" s="16"/>
      <c r="F36" s="39" t="s">
        <v>48</v>
      </c>
      <c r="K36" s="43" t="s">
        <v>40</v>
      </c>
      <c r="L36" s="43"/>
    </row>
    <row r="37" spans="2:15" ht="18">
      <c r="B37" s="6" t="s">
        <v>5</v>
      </c>
      <c r="C37" s="16"/>
      <c r="D37" s="16"/>
      <c r="F37" s="39" t="s">
        <v>33</v>
      </c>
      <c r="K37" s="1" t="s">
        <v>51</v>
      </c>
      <c r="L37" s="51">
        <f>0.7*C42</f>
        <v>4970</v>
      </c>
      <c r="M37" s="1" t="s">
        <v>23</v>
      </c>
    </row>
    <row r="38" spans="2:15" ht="14.4">
      <c r="B38" s="6" t="s">
        <v>2</v>
      </c>
      <c r="C38" s="16"/>
      <c r="D38" s="16"/>
      <c r="F38" s="40" t="s">
        <v>45</v>
      </c>
      <c r="K38" s="1" t="s">
        <v>22</v>
      </c>
      <c r="L38" s="51">
        <f>L37*C50</f>
        <v>2728.53</v>
      </c>
      <c r="M38" s="1" t="s">
        <v>55</v>
      </c>
    </row>
    <row r="39" spans="2:15" ht="14.4">
      <c r="B39" s="6" t="s">
        <v>7</v>
      </c>
      <c r="C39" s="16"/>
      <c r="D39" s="16"/>
      <c r="K39" s="43" t="s">
        <v>50</v>
      </c>
      <c r="L39" s="43"/>
      <c r="M39" s="45"/>
    </row>
    <row r="40" spans="2:15" ht="14.4">
      <c r="B40" s="33" t="s">
        <v>64</v>
      </c>
      <c r="C40" s="16"/>
      <c r="D40" s="16"/>
      <c r="F40" s="1">
        <f>C35+(C40*C41)</f>
        <v>0</v>
      </c>
      <c r="G40" s="1">
        <f>(D35+D40)/45000*3600</f>
        <v>0</v>
      </c>
      <c r="H40" s="1">
        <f>(($D$15+$D$10)*3.6/45)</f>
        <v>0</v>
      </c>
      <c r="K40" s="1" t="s">
        <v>60</v>
      </c>
      <c r="L40" s="40">
        <f>1*3.6</f>
        <v>3.6</v>
      </c>
      <c r="M40" s="1" t="s">
        <v>52</v>
      </c>
    </row>
    <row r="41" spans="2:15" ht="14.4">
      <c r="B41" s="6" t="s">
        <v>20</v>
      </c>
      <c r="C41" s="16"/>
      <c r="D41" s="16"/>
      <c r="K41" s="1" t="s">
        <v>61</v>
      </c>
      <c r="L41" s="42">
        <f>L40/(0.95*N35)</f>
        <v>3.77192668128917e-002</v>
      </c>
      <c r="M41" s="1" t="s">
        <v>42</v>
      </c>
    </row>
    <row r="42" spans="2:15" ht="14.4">
      <c r="B42" s="6" t="s">
        <v>9</v>
      </c>
      <c r="C42" s="50">
        <v>7100</v>
      </c>
      <c r="D42" s="50"/>
      <c r="F42" s="1" t="s">
        <v>8</v>
      </c>
      <c r="G42" s="1" t="s">
        <v>27</v>
      </c>
      <c r="H42" s="1" t="s">
        <v>4</v>
      </c>
      <c r="K42" s="1" t="s">
        <v>39</v>
      </c>
      <c r="L42" s="47">
        <f>L41*C42</f>
        <v>267.80679437153105</v>
      </c>
      <c r="M42" s="1" t="s">
        <v>53</v>
      </c>
    </row>
    <row r="43" spans="2:15" ht="14.4">
      <c r="B43" s="6" t="s">
        <v>10</v>
      </c>
      <c r="C43" s="18">
        <f>F40*C42*C49</f>
        <v>0</v>
      </c>
      <c r="D43" s="18">
        <f>-($C$42*0.7)*$C$50+(($C$42*(($D$40+$D$35)*3.6/N35))+($G$43*$C$42)-($H$43*$C$42))*C51</f>
        <v>-2158.1015279886392</v>
      </c>
      <c r="G43" s="41">
        <f>+L33</f>
        <v>6.4499946250044793e-002</v>
      </c>
      <c r="H43" s="42">
        <f>+L41</f>
        <v>3.77192668128917e-002</v>
      </c>
      <c r="K43" s="1" t="s">
        <v>19</v>
      </c>
      <c r="L43" s="47">
        <f>L42*C51</f>
        <v>803.42038311459316</v>
      </c>
      <c r="M43" s="1" t="s">
        <v>55</v>
      </c>
    </row>
    <row r="44" spans="2:15" ht="15.15">
      <c r="B44" s="9"/>
      <c r="C44" s="19"/>
      <c r="D44" s="19"/>
      <c r="G44" s="40">
        <v>1.8</v>
      </c>
      <c r="H44" s="40"/>
    </row>
    <row r="45" spans="2:15" ht="28.95">
      <c r="B45" s="10" t="s">
        <v>12</v>
      </c>
      <c r="C45" s="20" t="e">
        <f>ROUNDDOWN(1-(D43/C43),2)</f>
        <v>#DIV/0!</v>
      </c>
      <c r="D45" s="23"/>
      <c r="K45" s="44" t="s">
        <v>63</v>
      </c>
      <c r="L45" s="44"/>
      <c r="M45" s="44"/>
      <c r="N45" s="44"/>
      <c r="O45" s="44"/>
    </row>
    <row r="46" spans="2:15" ht="18">
      <c r="B46" s="11"/>
      <c r="C46" s="11"/>
      <c r="D46" s="11"/>
      <c r="F46" s="39"/>
      <c r="K46" s="1" t="s">
        <v>13</v>
      </c>
      <c r="L46" s="48">
        <f>(($C$17*(($D$15+$D$10)*3.6/N35))*C51)+L35-L38-L43</f>
        <v>-2158.1015279886392</v>
      </c>
    </row>
    <row r="47" spans="2:15" ht="14.4">
      <c r="B47" s="12" t="s">
        <v>16</v>
      </c>
      <c r="C47" s="36">
        <v>7100</v>
      </c>
      <c r="D47" s="38" t="s">
        <v>67</v>
      </c>
    </row>
    <row r="48" spans="2:15">
      <c r="B48" s="13"/>
      <c r="C48" s="11"/>
      <c r="D48" s="25"/>
    </row>
    <row r="49" spans="2:16">
      <c r="B49" s="13" t="s">
        <v>14</v>
      </c>
      <c r="C49" s="11">
        <v>2.4900000000000002</v>
      </c>
      <c r="D49" s="25" t="s">
        <v>29</v>
      </c>
      <c r="P49" s="45"/>
    </row>
    <row r="50" spans="2:16">
      <c r="B50" s="13"/>
      <c r="C50" s="11">
        <v>0.54900000000000004</v>
      </c>
      <c r="D50" s="25" t="s">
        <v>30</v>
      </c>
    </row>
    <row r="51" spans="2:16">
      <c r="B51" s="35"/>
      <c r="C51" s="37">
        <v>3</v>
      </c>
      <c r="D51" s="26" t="s">
        <v>32</v>
      </c>
    </row>
  </sheetData>
  <sheetProtection password="8C0D" sheet="1" objects="1" scenarios="1"/>
  <mergeCells count="10">
    <mergeCell ref="K11:L11"/>
    <mergeCell ref="K14:L14"/>
    <mergeCell ref="C17:D17"/>
    <mergeCell ref="C20:D20"/>
    <mergeCell ref="K20:O20"/>
    <mergeCell ref="K36:L36"/>
    <mergeCell ref="K39:L39"/>
    <mergeCell ref="C42:D42"/>
    <mergeCell ref="C45:D45"/>
    <mergeCell ref="K45:O45"/>
  </mergeCells>
  <phoneticPr fontId="2" type="Hiragana"/>
  <pageMargins left="0.7" right="0.7" top="0.75" bottom="0.75" header="0.3" footer="0.3"/>
  <pageSetup paperSize="9" scale="80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エコキュート</vt:lpstr>
      <vt:lpstr>エコジョーズ＋コレモ</vt:lpstr>
      <vt:lpstr>エネファーム</vt:lpstr>
    </vt:vector>
  </TitlesOfParts>
  <Company>登別市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上村　直哉</dc:creator>
  <cp:lastModifiedBy>上村　直哉</cp:lastModifiedBy>
  <dcterms:created xsi:type="dcterms:W3CDTF">2023-05-12T06:03:59Z</dcterms:created>
  <dcterms:modified xsi:type="dcterms:W3CDTF">2023-08-30T07:20:21Z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2023-08-30T07:20:21Z</vt:filetime>
  </property>
</Properties>
</file>